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70" windowWidth="17595" windowHeight="11760" activeTab="1"/>
  </bookViews>
  <sheets>
    <sheet name="Origineel" sheetId="1" r:id="rId1"/>
    <sheet name="Correctie" sheetId="2" r:id="rId2"/>
    <sheet name="Realistisch" sheetId="3" r:id="rId3"/>
  </sheets>
  <definedNames/>
  <calcPr fullCalcOnLoad="1"/>
</workbook>
</file>

<file path=xl/sharedStrings.xml><?xml version="1.0" encoding="utf-8"?>
<sst xmlns="http://schemas.openxmlformats.org/spreadsheetml/2006/main" count="101" uniqueCount="58">
  <si>
    <t>vierkante meter</t>
  </si>
  <si>
    <t xml:space="preserve">prijs in euro per vierkante meter </t>
  </si>
  <si>
    <t xml:space="preserve">bruto </t>
  </si>
  <si>
    <t>aanvangs-</t>
  </si>
  <si>
    <t>rendement</t>
  </si>
  <si>
    <t>KOSTEN KOOP LEEUWENBRUG</t>
  </si>
  <si>
    <t>Note: volgens DTZ en CBRE is de huidige bruto aanvangsrendement in Deventer tussen 8.5% en 9.0%</t>
  </si>
  <si>
    <t>Aankoop Leeuwenbrug</t>
  </si>
  <si>
    <t>Huur elders</t>
  </si>
  <si>
    <t>Subtotaal</t>
  </si>
  <si>
    <t>Oude boekwaarde stadskantoor</t>
  </si>
  <si>
    <t>BVO</t>
  </si>
  <si>
    <t>Note</t>
  </si>
  <si>
    <t>Kosten Aankoop Leeuwenbrug</t>
  </si>
  <si>
    <t>Bestaande panden renoveren</t>
  </si>
  <si>
    <t>Verbouwing Leeuwenbrug</t>
  </si>
  <si>
    <t>1. Aanname AdMvO (zie hieronder)</t>
  </si>
  <si>
    <t>2. Aanname uit Raadsvergadering 28 November 2007</t>
  </si>
  <si>
    <t>Bibliotheek aan de Brink</t>
  </si>
  <si>
    <t>Bibliotheek aan Groot Kerkhof</t>
  </si>
  <si>
    <t>Inrichting en ICT</t>
  </si>
  <si>
    <t>Meubliar</t>
  </si>
  <si>
    <t>Voorbereidingskosten</t>
  </si>
  <si>
    <t>4. BVO uit blad Samenvatting' en aaname kosten uit 'Blad Kapitaallasten'</t>
  </si>
  <si>
    <t>Kosten</t>
  </si>
  <si>
    <t>3. Aanname uit kosten uit 'Financiele Onderbouwing' (pagina 9) 1000 euro per m2 met 35% opslag</t>
  </si>
  <si>
    <t>5. BVO en kosten uit BBA rapport 14 oktober 2008</t>
  </si>
  <si>
    <t xml:space="preserve">6. BVO uit blad 'Samenvatting' en kosten uit blad 'Kapitaallasten scenario 1' </t>
  </si>
  <si>
    <t>7. BVO uit blad 'Samenvatting' en kosten uit blad 'Kapitaallasten scenario 3'</t>
  </si>
  <si>
    <t>8. Aanname uit blad 'Samenvatting'</t>
  </si>
  <si>
    <t>9. Aanname uit blad 'Samenvatting'</t>
  </si>
  <si>
    <t>10. Aanname uit blad 'Financiele Onderbouwing' (pagina 15)</t>
  </si>
  <si>
    <t>Totaal Krediet</t>
  </si>
  <si>
    <t>Eenmalige bijdrage bibliotheek</t>
  </si>
  <si>
    <t>Totale investering</t>
  </si>
  <si>
    <t>11. Aanname uit blad 'Samenvatting'</t>
  </si>
  <si>
    <t>12. Aanname uit blad 'Samenvatting'</t>
  </si>
  <si>
    <t>Berekening dMvO</t>
  </si>
  <si>
    <t>Correctie</t>
  </si>
  <si>
    <t>Berekening Gemeente</t>
  </si>
  <si>
    <t>Stadskantoor verbouwen</t>
  </si>
  <si>
    <t>Fietskelder en parkeerplaatsen</t>
  </si>
  <si>
    <t>Correctie verbouwing Polstraat en Bestuurscentrum</t>
  </si>
  <si>
    <t>Correctie verbouwing Leeuwenbrug</t>
  </si>
  <si>
    <t>Origineel Leeuwenbrug scenario</t>
  </si>
  <si>
    <t>Origineel nieuwbouw Stadskantoor scenario</t>
  </si>
  <si>
    <t>Correctie verbouwing Polstraat Bestuurscentrum</t>
  </si>
  <si>
    <t>Correctie kosten onvoorzien</t>
  </si>
  <si>
    <t>Realistische nieuwbouw Stadskantoor scenario</t>
  </si>
  <si>
    <t xml:space="preserve">Verschil </t>
  </si>
  <si>
    <t>Realistische Leeuwenbrug scenario</t>
  </si>
  <si>
    <t>note</t>
  </si>
  <si>
    <t>1. zie eerder worksheet van deze spreadsheet</t>
  </si>
  <si>
    <t>2. verondersteld 50% lagere uitgaven naar aanleiding van reactie op politieke markt 4 februari</t>
  </si>
  <si>
    <t xml:space="preserve">3. 500 euro per vierkante meter </t>
  </si>
  <si>
    <t>4. zie Bremen Bouw Adviseurs rapport 3 februari</t>
  </si>
  <si>
    <t>5. hogere kostenpost van Polstraat (zie Bremen Bouw Adviseurs rapport 3 februari)</t>
  </si>
  <si>
    <t>6. 10% extra onvoorzien op bouwkosten hetgeen neerkomt op 12% op totaalkosten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</si>
</sst>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_-;_-* #,##0\-;_-* &quot;-&quot;??_-;_-@_-"/>
    <numFmt numFmtId="167" formatCode="_-* #,##0.0_-;\-* #,##0.0_-;_-* &quot;-&quot;??_-;_-@_-"/>
    <numFmt numFmtId="168" formatCode="#,##0_ ;[Red]\-#,##0\ "/>
    <numFmt numFmtId="169" formatCode="#,##0;[Red]#,##0"/>
    <numFmt numFmtId="170" formatCode="0.00_ ;\-0.00\ "/>
    <numFmt numFmtId="171" formatCode="#,##0_ ;\-#,##0\ 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64" fontId="1" fillId="0" borderId="0" xfId="15" applyNumberFormat="1" applyFon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0" fillId="0" borderId="0" xfId="15" applyNumberFormat="1" applyBorder="1" applyAlignment="1">
      <alignment/>
    </xf>
    <xf numFmtId="164" fontId="0" fillId="2" borderId="0" xfId="15" applyNumberFormat="1" applyFill="1" applyBorder="1" applyAlignment="1">
      <alignment/>
    </xf>
    <xf numFmtId="164" fontId="0" fillId="3" borderId="0" xfId="15" applyNumberFormat="1" applyFill="1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1" fillId="0" borderId="2" xfId="0" applyFont="1" applyBorder="1" applyAlignment="1">
      <alignment/>
    </xf>
    <xf numFmtId="1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164" fontId="0" fillId="0" borderId="0" xfId="15" applyNumberFormat="1" applyAlignment="1">
      <alignment/>
    </xf>
    <xf numFmtId="164" fontId="1" fillId="0" borderId="2" xfId="15" applyNumberFormat="1" applyFont="1" applyBorder="1" applyAlignment="1">
      <alignment/>
    </xf>
    <xf numFmtId="164" fontId="0" fillId="0" borderId="3" xfId="15" applyNumberFormat="1" applyFont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6" xfId="0" applyFill="1" applyBorder="1" applyAlignment="1">
      <alignment/>
    </xf>
    <xf numFmtId="168" fontId="0" fillId="0" borderId="7" xfId="15" applyNumberFormat="1" applyFill="1" applyBorder="1" applyAlignment="1">
      <alignment/>
    </xf>
    <xf numFmtId="0" fontId="1" fillId="0" borderId="8" xfId="0" applyFont="1" applyFill="1" applyBorder="1" applyAlignment="1">
      <alignment/>
    </xf>
    <xf numFmtId="168" fontId="1" fillId="0" borderId="9" xfId="15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1" fillId="0" borderId="8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68" fontId="1" fillId="0" borderId="12" xfId="15" applyNumberFormat="1" applyFont="1" applyFill="1" applyBorder="1" applyAlignment="1">
      <alignment/>
    </xf>
    <xf numFmtId="164" fontId="0" fillId="0" borderId="3" xfId="15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164" fontId="0" fillId="0" borderId="0" xfId="15" applyNumberFormat="1" applyFill="1" applyBorder="1" applyAlignment="1">
      <alignment/>
    </xf>
    <xf numFmtId="164" fontId="0" fillId="4" borderId="0" xfId="15" applyNumberFormat="1" applyFont="1" applyFill="1" applyBorder="1" applyAlignment="1">
      <alignment/>
    </xf>
    <xf numFmtId="164" fontId="0" fillId="4" borderId="0" xfId="15" applyNumberFormat="1" applyFill="1" applyBorder="1" applyAlignment="1">
      <alignment/>
    </xf>
    <xf numFmtId="3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171" fontId="0" fillId="0" borderId="0" xfId="15" applyNumberFormat="1" applyAlignment="1">
      <alignment/>
    </xf>
    <xf numFmtId="171" fontId="1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6"/>
  <sheetViews>
    <sheetView showGridLines="0" workbookViewId="0" topLeftCell="A1">
      <selection activeCell="F6" sqref="F6"/>
    </sheetView>
  </sheetViews>
  <sheetFormatPr defaultColWidth="9.140625" defaultRowHeight="12.75"/>
  <cols>
    <col min="3" max="3" width="17.8515625" style="0" customWidth="1"/>
    <col min="4" max="5" width="11.28125" style="0" bestFit="1" customWidth="1"/>
    <col min="6" max="6" width="11.28125" style="0" customWidth="1"/>
    <col min="7" max="7" width="11.28125" style="0" bestFit="1" customWidth="1"/>
    <col min="8" max="8" width="11.7109375" style="0" customWidth="1"/>
    <col min="9" max="9" width="14.00390625" style="0" customWidth="1"/>
  </cols>
  <sheetData>
    <row r="3" spans="4:8" ht="12.75">
      <c r="D3" s="9" t="s">
        <v>11</v>
      </c>
      <c r="E3" s="9" t="s">
        <v>11</v>
      </c>
      <c r="F3" s="9" t="s">
        <v>24</v>
      </c>
      <c r="G3" s="9" t="s">
        <v>24</v>
      </c>
      <c r="H3" s="9" t="s">
        <v>12</v>
      </c>
    </row>
    <row r="4" spans="2:8" ht="12.75">
      <c r="B4" t="s">
        <v>7</v>
      </c>
      <c r="D4">
        <v>9000</v>
      </c>
      <c r="E4">
        <f>+D4</f>
        <v>9000</v>
      </c>
      <c r="F4">
        <v>13500000</v>
      </c>
      <c r="G4">
        <f>+F4</f>
        <v>13500000</v>
      </c>
      <c r="H4">
        <v>1</v>
      </c>
    </row>
    <row r="5" spans="2:8" ht="12.75">
      <c r="B5" t="s">
        <v>13</v>
      </c>
      <c r="F5">
        <f>0.1*F4</f>
        <v>1350000</v>
      </c>
      <c r="G5">
        <f>+F5</f>
        <v>1350000</v>
      </c>
      <c r="H5">
        <v>2</v>
      </c>
    </row>
    <row r="6" spans="2:8" ht="12.75">
      <c r="B6" t="s">
        <v>15</v>
      </c>
      <c r="F6">
        <f>+D4*1000*1.35</f>
        <v>12150000</v>
      </c>
      <c r="G6">
        <f>+F6</f>
        <v>12150000</v>
      </c>
      <c r="H6">
        <v>3</v>
      </c>
    </row>
    <row r="7" spans="2:8" ht="12.75">
      <c r="B7" t="s">
        <v>14</v>
      </c>
      <c r="D7">
        <f>830+468+1067+794+953+2187+908+1378</f>
        <v>8585</v>
      </c>
      <c r="E7">
        <f>+D7</f>
        <v>8585</v>
      </c>
      <c r="F7">
        <f>327600+505440+1357200+1185600+1482000+1872000+1419600+4290000</f>
        <v>12439440</v>
      </c>
      <c r="G7">
        <v>12439440</v>
      </c>
      <c r="H7">
        <v>4</v>
      </c>
    </row>
    <row r="8" spans="2:8" ht="12.75">
      <c r="B8" t="s">
        <v>18</v>
      </c>
      <c r="D8">
        <v>4000</v>
      </c>
      <c r="F8">
        <v>10477000</v>
      </c>
      <c r="H8">
        <v>5</v>
      </c>
    </row>
    <row r="9" spans="2:8" ht="12.75">
      <c r="B9" t="s">
        <v>19</v>
      </c>
      <c r="E9">
        <v>4725</v>
      </c>
      <c r="G9">
        <v>13899470</v>
      </c>
      <c r="H9">
        <v>6</v>
      </c>
    </row>
    <row r="10" spans="2:8" ht="12.75">
      <c r="B10" t="s">
        <v>8</v>
      </c>
      <c r="D10">
        <f>4733+7287-9000</f>
        <v>3020</v>
      </c>
      <c r="E10">
        <f>+D10</f>
        <v>3020</v>
      </c>
      <c r="F10" s="10">
        <f>1977960*3020/3297</f>
        <v>1811780.1637852592</v>
      </c>
      <c r="G10" s="10">
        <f>+F10</f>
        <v>1811780.1637852592</v>
      </c>
      <c r="H10">
        <v>7</v>
      </c>
    </row>
    <row r="11" spans="2:8" ht="12.75">
      <c r="B11" t="s">
        <v>20</v>
      </c>
      <c r="F11">
        <v>1667892</v>
      </c>
      <c r="G11">
        <f>+F11</f>
        <v>1667892</v>
      </c>
      <c r="H11">
        <v>8</v>
      </c>
    </row>
    <row r="12" spans="2:8" ht="12.75">
      <c r="B12" t="s">
        <v>21</v>
      </c>
      <c r="F12">
        <v>3049100</v>
      </c>
      <c r="G12">
        <f>+F12</f>
        <v>3049100</v>
      </c>
      <c r="H12">
        <v>9</v>
      </c>
    </row>
    <row r="13" spans="2:8" ht="12.75">
      <c r="B13" t="s">
        <v>22</v>
      </c>
      <c r="F13">
        <v>3000000</v>
      </c>
      <c r="G13">
        <f>+F13</f>
        <v>3000000</v>
      </c>
      <c r="H13">
        <v>10</v>
      </c>
    </row>
    <row r="14" spans="2:8" ht="13.5" thickBot="1">
      <c r="B14" s="11" t="s">
        <v>9</v>
      </c>
      <c r="C14" s="11"/>
      <c r="D14" s="11">
        <f>SUM(D4:D13)</f>
        <v>24605</v>
      </c>
      <c r="E14" s="11">
        <f>SUM(E4:E13)</f>
        <v>25330</v>
      </c>
      <c r="F14" s="12">
        <f>SUM(F4:F13)</f>
        <v>59445212.16378526</v>
      </c>
      <c r="G14" s="12">
        <f>SUM(G4:G13)</f>
        <v>62867682.16378526</v>
      </c>
      <c r="H14" s="12"/>
    </row>
    <row r="15" spans="2:8" ht="12.75">
      <c r="B15" s="14" t="s">
        <v>10</v>
      </c>
      <c r="C15" s="14"/>
      <c r="D15" s="14"/>
      <c r="E15" s="14"/>
      <c r="F15" s="14">
        <v>-2326071</v>
      </c>
      <c r="G15" s="14">
        <v>-2326071</v>
      </c>
      <c r="H15" s="13">
        <v>11</v>
      </c>
    </row>
    <row r="16" spans="2:8" ht="13.5" thickBot="1">
      <c r="B16" s="11" t="s">
        <v>32</v>
      </c>
      <c r="C16" s="11"/>
      <c r="D16" s="11"/>
      <c r="E16" s="11"/>
      <c r="F16" s="12">
        <f>+F14+F15</f>
        <v>57119141.16378526</v>
      </c>
      <c r="G16" s="12">
        <f>+G14+G15</f>
        <v>60541611.16378526</v>
      </c>
      <c r="H16" s="11"/>
    </row>
    <row r="17" spans="2:8" ht="12.75">
      <c r="B17" t="s">
        <v>33</v>
      </c>
      <c r="F17">
        <v>1900000</v>
      </c>
      <c r="G17">
        <f>+F17</f>
        <v>1900000</v>
      </c>
      <c r="H17">
        <v>12</v>
      </c>
    </row>
    <row r="18" spans="2:8" ht="13.5" thickBot="1">
      <c r="B18" s="11" t="s">
        <v>34</v>
      </c>
      <c r="C18" s="11"/>
      <c r="D18" s="11"/>
      <c r="E18" s="11"/>
      <c r="F18" s="12">
        <f>+F16+F17</f>
        <v>59019141.16378526</v>
      </c>
      <c r="G18" s="12">
        <f>+G16+G17</f>
        <v>62441611.16378526</v>
      </c>
      <c r="H18" s="11"/>
    </row>
    <row r="20" ht="12.75">
      <c r="B20" t="s">
        <v>16</v>
      </c>
    </row>
    <row r="21" ht="12.75">
      <c r="B21" t="s">
        <v>17</v>
      </c>
    </row>
    <row r="22" ht="12.75">
      <c r="B22" t="s">
        <v>25</v>
      </c>
    </row>
    <row r="23" ht="12.75">
      <c r="B23" t="s">
        <v>23</v>
      </c>
    </row>
    <row r="24" ht="12.75">
      <c r="B24" t="s">
        <v>26</v>
      </c>
    </row>
    <row r="25" ht="12.75">
      <c r="B25" t="s">
        <v>27</v>
      </c>
    </row>
    <row r="26" ht="12.75">
      <c r="B26" t="s">
        <v>28</v>
      </c>
    </row>
    <row r="27" ht="12.75">
      <c r="B27" t="s">
        <v>29</v>
      </c>
    </row>
    <row r="28" ht="12.75">
      <c r="B28" t="s">
        <v>30</v>
      </c>
    </row>
    <row r="29" ht="12.75">
      <c r="B29" t="s">
        <v>31</v>
      </c>
    </row>
    <row r="30" ht="12.75">
      <c r="B30" t="s">
        <v>35</v>
      </c>
    </row>
    <row r="31" ht="12.75">
      <c r="B31" t="s">
        <v>36</v>
      </c>
    </row>
    <row r="34" spans="2:9" ht="13.5" thickBot="1">
      <c r="B34" s="1" t="s">
        <v>5</v>
      </c>
      <c r="C34" s="2"/>
      <c r="D34" s="2"/>
      <c r="E34" s="2"/>
      <c r="F34" s="2"/>
      <c r="G34" s="2"/>
      <c r="H34" s="2"/>
      <c r="I34" s="2"/>
    </row>
    <row r="35" ht="13.5" thickTop="1"/>
    <row r="36" spans="2:4" ht="12.75">
      <c r="B36" t="s">
        <v>0</v>
      </c>
      <c r="D36" s="3">
        <v>9000</v>
      </c>
    </row>
    <row r="37" ht="12.75">
      <c r="G37" t="s">
        <v>1</v>
      </c>
    </row>
    <row r="38" spans="4:8" ht="12.75">
      <c r="D38" s="4">
        <v>90</v>
      </c>
      <c r="E38" s="4">
        <v>100</v>
      </c>
      <c r="F38" s="4">
        <v>110</v>
      </c>
      <c r="G38" s="4">
        <v>120</v>
      </c>
      <c r="H38" s="4">
        <v>130</v>
      </c>
    </row>
    <row r="39" spans="4:8" ht="12.75">
      <c r="D39" s="4"/>
      <c r="E39" s="4"/>
      <c r="F39" s="4"/>
      <c r="G39" s="4"/>
      <c r="H39" s="4"/>
    </row>
    <row r="40" spans="4:8" ht="12.75">
      <c r="D40" s="4"/>
      <c r="E40" s="4"/>
      <c r="F40" s="4"/>
      <c r="G40" s="4"/>
      <c r="H40" s="4"/>
    </row>
    <row r="41" spans="3:8" ht="12.75">
      <c r="C41" s="5">
        <v>4</v>
      </c>
      <c r="D41" s="6">
        <f aca="true" t="shared" si="0" ref="D41:H54">+$D$36*D$38/($C41/100)</f>
        <v>20250000</v>
      </c>
      <c r="E41" s="7">
        <f t="shared" si="0"/>
        <v>22500000</v>
      </c>
      <c r="F41" s="7">
        <f t="shared" si="0"/>
        <v>24750000</v>
      </c>
      <c r="G41" s="7">
        <f t="shared" si="0"/>
        <v>27000000</v>
      </c>
      <c r="H41" s="7">
        <f t="shared" si="0"/>
        <v>29250000</v>
      </c>
    </row>
    <row r="42" spans="3:8" ht="12.75">
      <c r="C42" s="4">
        <v>4.5</v>
      </c>
      <c r="D42" s="6">
        <f t="shared" si="0"/>
        <v>18000000</v>
      </c>
      <c r="E42" s="6">
        <f t="shared" si="0"/>
        <v>20000000</v>
      </c>
      <c r="F42" s="7">
        <f t="shared" si="0"/>
        <v>22000000</v>
      </c>
      <c r="G42" s="7">
        <f t="shared" si="0"/>
        <v>24000000</v>
      </c>
      <c r="H42" s="7">
        <f t="shared" si="0"/>
        <v>26000000</v>
      </c>
    </row>
    <row r="43" spans="3:8" ht="12.75">
      <c r="C43" s="5">
        <v>5</v>
      </c>
      <c r="D43" s="6">
        <f t="shared" si="0"/>
        <v>16200000</v>
      </c>
      <c r="E43" s="6">
        <f t="shared" si="0"/>
        <v>18000000</v>
      </c>
      <c r="F43" s="6">
        <f t="shared" si="0"/>
        <v>19800000</v>
      </c>
      <c r="G43" s="7">
        <f t="shared" si="0"/>
        <v>21600000</v>
      </c>
      <c r="H43" s="7">
        <f t="shared" si="0"/>
        <v>23400000</v>
      </c>
    </row>
    <row r="44" spans="3:8" ht="12.75">
      <c r="C44" s="5">
        <v>5.5</v>
      </c>
      <c r="D44" s="6">
        <f t="shared" si="0"/>
        <v>14727272.727272727</v>
      </c>
      <c r="E44" s="6">
        <f t="shared" si="0"/>
        <v>16363636.363636363</v>
      </c>
      <c r="F44" s="6">
        <f t="shared" si="0"/>
        <v>18000000</v>
      </c>
      <c r="G44" s="6">
        <f t="shared" si="0"/>
        <v>19636363.636363637</v>
      </c>
      <c r="H44" s="7">
        <f t="shared" si="0"/>
        <v>21272727.272727273</v>
      </c>
    </row>
    <row r="45" spans="3:8" ht="12.75">
      <c r="C45" s="5">
        <v>6</v>
      </c>
      <c r="D45" s="6">
        <f t="shared" si="0"/>
        <v>13500000</v>
      </c>
      <c r="E45" s="6">
        <f t="shared" si="0"/>
        <v>15000000</v>
      </c>
      <c r="F45" s="6">
        <f t="shared" si="0"/>
        <v>16500000</v>
      </c>
      <c r="G45" s="6">
        <f t="shared" si="0"/>
        <v>18000000</v>
      </c>
      <c r="H45" s="6">
        <f t="shared" si="0"/>
        <v>19500000</v>
      </c>
    </row>
    <row r="46" spans="2:8" ht="12.75">
      <c r="B46" t="s">
        <v>2</v>
      </c>
      <c r="C46" s="5">
        <v>6.5</v>
      </c>
      <c r="D46" s="6">
        <f t="shared" si="0"/>
        <v>12461538.461538462</v>
      </c>
      <c r="E46" s="6">
        <f t="shared" si="0"/>
        <v>13846153.846153846</v>
      </c>
      <c r="F46" s="6">
        <f t="shared" si="0"/>
        <v>15230769.23076923</v>
      </c>
      <c r="G46" s="6">
        <f t="shared" si="0"/>
        <v>16615384.615384614</v>
      </c>
      <c r="H46" s="6">
        <f t="shared" si="0"/>
        <v>18000000</v>
      </c>
    </row>
    <row r="47" spans="2:8" ht="12.75">
      <c r="B47" t="s">
        <v>3</v>
      </c>
      <c r="C47" s="5">
        <v>7</v>
      </c>
      <c r="D47" s="6">
        <f>+$D$36*D$38/($C47/100)</f>
        <v>11571428.57142857</v>
      </c>
      <c r="E47" s="6">
        <f t="shared" si="0"/>
        <v>12857142.857142856</v>
      </c>
      <c r="F47" s="6">
        <f t="shared" si="0"/>
        <v>14142857.142857142</v>
      </c>
      <c r="G47" s="6">
        <f t="shared" si="0"/>
        <v>15428571.428571427</v>
      </c>
      <c r="H47" s="6">
        <f t="shared" si="0"/>
        <v>16714285.714285713</v>
      </c>
    </row>
    <row r="48" spans="2:8" ht="12.75">
      <c r="B48" t="s">
        <v>4</v>
      </c>
      <c r="C48" s="5">
        <v>7.5</v>
      </c>
      <c r="D48" s="6">
        <f>+$D$36*D$38/($C48/100)</f>
        <v>10800000</v>
      </c>
      <c r="E48" s="6">
        <f t="shared" si="0"/>
        <v>12000000</v>
      </c>
      <c r="F48" s="6">
        <f t="shared" si="0"/>
        <v>13200000</v>
      </c>
      <c r="G48" s="6">
        <f t="shared" si="0"/>
        <v>14400000</v>
      </c>
      <c r="H48" s="6">
        <f t="shared" si="0"/>
        <v>15600000</v>
      </c>
    </row>
    <row r="49" spans="3:8" ht="12.75">
      <c r="C49" s="5">
        <v>8</v>
      </c>
      <c r="D49" s="6">
        <f aca="true" t="shared" si="1" ref="D49:D54">+$D$36*D$38/($C49/100)</f>
        <v>10125000</v>
      </c>
      <c r="E49" s="8">
        <f t="shared" si="0"/>
        <v>11250000</v>
      </c>
      <c r="F49" s="8">
        <f t="shared" si="0"/>
        <v>12375000</v>
      </c>
      <c r="G49" s="8">
        <f t="shared" si="0"/>
        <v>13500000</v>
      </c>
      <c r="H49" s="6">
        <f t="shared" si="0"/>
        <v>14625000</v>
      </c>
    </row>
    <row r="50" spans="3:8" ht="12.75">
      <c r="C50" s="5">
        <v>8.5</v>
      </c>
      <c r="D50" s="6">
        <f t="shared" si="1"/>
        <v>9529411.764705881</v>
      </c>
      <c r="E50" s="8">
        <f t="shared" si="0"/>
        <v>10588235.294117646</v>
      </c>
      <c r="F50" s="8">
        <f t="shared" si="0"/>
        <v>11647058.823529411</v>
      </c>
      <c r="G50" s="8">
        <f t="shared" si="0"/>
        <v>12705882.352941176</v>
      </c>
      <c r="H50" s="6">
        <f t="shared" si="0"/>
        <v>13764705.88235294</v>
      </c>
    </row>
    <row r="51" spans="3:8" ht="12.75">
      <c r="C51" s="5">
        <v>9</v>
      </c>
      <c r="D51" s="6">
        <f t="shared" si="1"/>
        <v>9000000</v>
      </c>
      <c r="E51" s="8">
        <f t="shared" si="0"/>
        <v>10000000</v>
      </c>
      <c r="F51" s="8">
        <f t="shared" si="0"/>
        <v>11000000</v>
      </c>
      <c r="G51" s="8">
        <f t="shared" si="0"/>
        <v>12000000</v>
      </c>
      <c r="H51" s="6">
        <f t="shared" si="0"/>
        <v>13000000</v>
      </c>
    </row>
    <row r="52" spans="3:8" ht="12.75">
      <c r="C52" s="5">
        <v>9.5</v>
      </c>
      <c r="D52" s="6">
        <f t="shared" si="1"/>
        <v>8526315.789473685</v>
      </c>
      <c r="E52" s="8">
        <f t="shared" si="0"/>
        <v>9473684.210526315</v>
      </c>
      <c r="F52" s="8">
        <f t="shared" si="0"/>
        <v>10421052.631578946</v>
      </c>
      <c r="G52" s="8">
        <f t="shared" si="0"/>
        <v>11368421.05263158</v>
      </c>
      <c r="H52" s="6">
        <f t="shared" si="0"/>
        <v>12315789.47368421</v>
      </c>
    </row>
    <row r="53" spans="2:8" ht="12.75">
      <c r="B53" s="9"/>
      <c r="C53" s="5">
        <v>10</v>
      </c>
      <c r="D53" s="6">
        <f t="shared" si="1"/>
        <v>8100000</v>
      </c>
      <c r="E53" s="8">
        <f t="shared" si="0"/>
        <v>9000000</v>
      </c>
      <c r="F53" s="8">
        <f t="shared" si="0"/>
        <v>9900000</v>
      </c>
      <c r="G53" s="8">
        <f t="shared" si="0"/>
        <v>10800000</v>
      </c>
      <c r="H53" s="6">
        <f t="shared" si="0"/>
        <v>11700000</v>
      </c>
    </row>
    <row r="54" spans="3:8" ht="12.75">
      <c r="C54" s="5">
        <v>10.5</v>
      </c>
      <c r="D54" s="6">
        <f t="shared" si="1"/>
        <v>7714285.714285715</v>
      </c>
      <c r="E54" s="6">
        <f t="shared" si="0"/>
        <v>8571428.57142857</v>
      </c>
      <c r="F54" s="6">
        <f t="shared" si="0"/>
        <v>9428571.42857143</v>
      </c>
      <c r="G54" s="6">
        <f t="shared" si="0"/>
        <v>10285714.285714285</v>
      </c>
      <c r="H54" s="6">
        <f t="shared" si="0"/>
        <v>11142857.142857144</v>
      </c>
    </row>
    <row r="56" ht="12.75">
      <c r="C56" t="s">
        <v>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7"/>
  <sheetViews>
    <sheetView showGridLines="0" tabSelected="1" workbookViewId="0" topLeftCell="A1">
      <selection activeCell="F45" sqref="F45"/>
    </sheetView>
  </sheetViews>
  <sheetFormatPr defaultColWidth="9.140625" defaultRowHeight="12.75"/>
  <cols>
    <col min="3" max="3" width="17.8515625" style="0" customWidth="1"/>
    <col min="4" max="4" width="11.28125" style="0" bestFit="1" customWidth="1"/>
    <col min="5" max="5" width="14.00390625" style="0" bestFit="1" customWidth="1"/>
    <col min="6" max="6" width="13.140625" style="0" customWidth="1"/>
    <col min="7" max="7" width="14.00390625" style="0" bestFit="1" customWidth="1"/>
    <col min="8" max="8" width="11.7109375" style="0" customWidth="1"/>
    <col min="9" max="9" width="14.00390625" style="0" customWidth="1"/>
  </cols>
  <sheetData>
    <row r="1" ht="13.5" thickBot="1"/>
    <row r="2" spans="4:9" ht="13.5" thickTop="1">
      <c r="D2" s="4" t="s">
        <v>37</v>
      </c>
      <c r="F2" s="4" t="s">
        <v>39</v>
      </c>
      <c r="H2" s="18" t="s">
        <v>38</v>
      </c>
      <c r="I2" s="19"/>
    </row>
    <row r="3" spans="4:10" ht="12.75">
      <c r="D3" s="9" t="s">
        <v>11</v>
      </c>
      <c r="E3" s="9" t="s">
        <v>24</v>
      </c>
      <c r="F3" s="9" t="s">
        <v>11</v>
      </c>
      <c r="G3" s="9" t="s">
        <v>24</v>
      </c>
      <c r="H3" s="20" t="s">
        <v>11</v>
      </c>
      <c r="I3" s="21" t="s">
        <v>24</v>
      </c>
      <c r="J3" s="9" t="s">
        <v>12</v>
      </c>
    </row>
    <row r="4" spans="2:10" ht="12.75">
      <c r="B4" t="s">
        <v>7</v>
      </c>
      <c r="D4">
        <v>9000</v>
      </c>
      <c r="E4" s="15">
        <v>13500000</v>
      </c>
      <c r="F4">
        <v>9400</v>
      </c>
      <c r="G4" s="15">
        <v>14850000</v>
      </c>
      <c r="H4" s="22">
        <f>+D4-F4</f>
        <v>-400</v>
      </c>
      <c r="I4" s="23">
        <f>+E4-G4</f>
        <v>-1350000</v>
      </c>
      <c r="J4">
        <v>1</v>
      </c>
    </row>
    <row r="5" spans="2:10" ht="12.75">
      <c r="B5" t="s">
        <v>13</v>
      </c>
      <c r="E5" s="15">
        <f>0.1*E4</f>
        <v>1350000</v>
      </c>
      <c r="G5" s="15"/>
      <c r="H5" s="22">
        <f aca="true" t="shared" si="0" ref="H5:H10">+D5-F5</f>
        <v>0</v>
      </c>
      <c r="I5" s="23">
        <f aca="true" t="shared" si="1" ref="I5:I14">+E5-G5</f>
        <v>1350000</v>
      </c>
      <c r="J5">
        <v>2</v>
      </c>
    </row>
    <row r="6" spans="2:10" ht="12.75">
      <c r="B6" t="s">
        <v>15</v>
      </c>
      <c r="E6" s="15">
        <f>+D4*1000*1.35</f>
        <v>12150000</v>
      </c>
      <c r="G6" s="15">
        <v>11956800</v>
      </c>
      <c r="H6" s="22">
        <f t="shared" si="0"/>
        <v>0</v>
      </c>
      <c r="I6" s="23">
        <f t="shared" si="1"/>
        <v>193200</v>
      </c>
      <c r="J6">
        <v>3</v>
      </c>
    </row>
    <row r="7" spans="2:10" ht="12.75">
      <c r="B7" t="s">
        <v>14</v>
      </c>
      <c r="D7">
        <f>830+468+1067+794+953+2187+908+1378</f>
        <v>8585</v>
      </c>
      <c r="E7" s="15">
        <f>(327600+505440+1357200+1185600+1482000+1872000+1419600+4290000)</f>
        <v>12439440</v>
      </c>
      <c r="F7">
        <f>830+468+1067+794+953+2187+908+1378</f>
        <v>8585</v>
      </c>
      <c r="G7" s="15">
        <f>14844440</f>
        <v>14844440</v>
      </c>
      <c r="H7" s="22">
        <f t="shared" si="0"/>
        <v>0</v>
      </c>
      <c r="I7" s="23">
        <f t="shared" si="1"/>
        <v>-2405000</v>
      </c>
      <c r="J7">
        <v>4</v>
      </c>
    </row>
    <row r="8" spans="2:15" ht="12.75">
      <c r="B8" t="s">
        <v>19</v>
      </c>
      <c r="D8">
        <v>4725</v>
      </c>
      <c r="E8" s="15">
        <v>13899470</v>
      </c>
      <c r="F8">
        <v>3812</v>
      </c>
      <c r="G8" s="15">
        <v>11212998</v>
      </c>
      <c r="H8" s="22">
        <f t="shared" si="0"/>
        <v>913</v>
      </c>
      <c r="I8" s="23">
        <f t="shared" si="1"/>
        <v>2686472</v>
      </c>
      <c r="J8">
        <v>6</v>
      </c>
      <c r="O8" s="31"/>
    </row>
    <row r="9" spans="2:10" ht="12.75">
      <c r="B9" t="s">
        <v>8</v>
      </c>
      <c r="D9">
        <f>4733+7287-9000</f>
        <v>3020</v>
      </c>
      <c r="E9" s="15">
        <f>1977960*3020/3297</f>
        <v>1811780.1637852592</v>
      </c>
      <c r="G9" s="15"/>
      <c r="H9" s="22">
        <f t="shared" si="0"/>
        <v>3020</v>
      </c>
      <c r="I9" s="23">
        <f t="shared" si="1"/>
        <v>1811780.1637852592</v>
      </c>
      <c r="J9">
        <v>7</v>
      </c>
    </row>
    <row r="10" spans="2:9" ht="12.75">
      <c r="B10" t="s">
        <v>40</v>
      </c>
      <c r="E10" s="15"/>
      <c r="F10">
        <v>4733</v>
      </c>
      <c r="G10" s="15">
        <f>2326071+8786002</f>
        <v>11112073</v>
      </c>
      <c r="H10" s="22">
        <f t="shared" si="0"/>
        <v>-4733</v>
      </c>
      <c r="I10" s="23">
        <f t="shared" si="1"/>
        <v>-11112073</v>
      </c>
    </row>
    <row r="11" spans="2:9" ht="12.75">
      <c r="B11" t="s">
        <v>41</v>
      </c>
      <c r="E11" s="15"/>
      <c r="G11" s="15">
        <f>1387500+285000</f>
        <v>1672500</v>
      </c>
      <c r="H11" s="22"/>
      <c r="I11" s="23">
        <f t="shared" si="1"/>
        <v>-1672500</v>
      </c>
    </row>
    <row r="12" spans="2:10" ht="12.75">
      <c r="B12" t="s">
        <v>20</v>
      </c>
      <c r="E12" s="15">
        <v>1667892</v>
      </c>
      <c r="G12" s="15">
        <v>1832240</v>
      </c>
      <c r="H12" s="22"/>
      <c r="I12" s="23">
        <f t="shared" si="1"/>
        <v>-164348</v>
      </c>
      <c r="J12">
        <v>8</v>
      </c>
    </row>
    <row r="13" spans="2:10" ht="12.75">
      <c r="B13" t="s">
        <v>21</v>
      </c>
      <c r="E13" s="15">
        <v>3049100</v>
      </c>
      <c r="G13" s="15">
        <v>3049100</v>
      </c>
      <c r="H13" s="22"/>
      <c r="I13" s="23">
        <f t="shared" si="1"/>
        <v>0</v>
      </c>
      <c r="J13">
        <v>9</v>
      </c>
    </row>
    <row r="14" spans="2:10" ht="12.75">
      <c r="B14" t="s">
        <v>22</v>
      </c>
      <c r="E14" s="15">
        <v>3000000</v>
      </c>
      <c r="G14" s="15">
        <v>6250000</v>
      </c>
      <c r="H14" s="22"/>
      <c r="I14" s="23">
        <f t="shared" si="1"/>
        <v>-3250000</v>
      </c>
      <c r="J14">
        <v>10</v>
      </c>
    </row>
    <row r="15" spans="2:10" ht="13.5" thickBot="1">
      <c r="B15" s="11" t="s">
        <v>9</v>
      </c>
      <c r="C15" s="11"/>
      <c r="D15" s="11">
        <f aca="true" t="shared" si="2" ref="D15:I15">SUM(D4:D14)</f>
        <v>25330</v>
      </c>
      <c r="E15" s="16">
        <f t="shared" si="2"/>
        <v>62867682.16378526</v>
      </c>
      <c r="F15" s="11">
        <f t="shared" si="2"/>
        <v>26530</v>
      </c>
      <c r="G15" s="16">
        <f t="shared" si="2"/>
        <v>76780151</v>
      </c>
      <c r="H15" s="24">
        <f t="shared" si="2"/>
        <v>-1200</v>
      </c>
      <c r="I15" s="25">
        <f t="shared" si="2"/>
        <v>-13912468.83621474</v>
      </c>
      <c r="J15" s="12"/>
    </row>
    <row r="16" spans="2:10" ht="12.75">
      <c r="B16" s="14" t="s">
        <v>10</v>
      </c>
      <c r="C16" s="14"/>
      <c r="D16" s="14"/>
      <c r="E16" s="17">
        <v>-2326071</v>
      </c>
      <c r="F16" s="30">
        <v>0</v>
      </c>
      <c r="G16" s="17">
        <v>-2326071</v>
      </c>
      <c r="H16" s="26"/>
      <c r="I16" s="23">
        <f>+E16-G16</f>
        <v>0</v>
      </c>
      <c r="J16" s="13">
        <v>11</v>
      </c>
    </row>
    <row r="17" spans="2:10" ht="13.5" thickBot="1">
      <c r="B17" s="11" t="s">
        <v>32</v>
      </c>
      <c r="C17" s="11"/>
      <c r="D17" s="11"/>
      <c r="E17" s="16">
        <f>+E15+E16</f>
        <v>60541611.16378526</v>
      </c>
      <c r="F17" s="12">
        <f>+F15+F16</f>
        <v>26530</v>
      </c>
      <c r="G17" s="16">
        <f>+G15+G16</f>
        <v>74454080</v>
      </c>
      <c r="H17" s="27"/>
      <c r="I17" s="25">
        <f>+I15+I16</f>
        <v>-13912468.83621474</v>
      </c>
      <c r="J17" s="11"/>
    </row>
    <row r="18" spans="2:13" ht="12.75">
      <c r="B18" t="s">
        <v>33</v>
      </c>
      <c r="E18" s="15">
        <v>1900000</v>
      </c>
      <c r="G18" s="15">
        <v>1900000</v>
      </c>
      <c r="H18" s="22"/>
      <c r="I18" s="23">
        <f>+E18-G18</f>
        <v>0</v>
      </c>
      <c r="J18">
        <v>12</v>
      </c>
      <c r="M18" s="32"/>
    </row>
    <row r="19" spans="2:10" ht="13.5" thickBot="1">
      <c r="B19" s="11" t="s">
        <v>34</v>
      </c>
      <c r="C19" s="11"/>
      <c r="D19" s="11"/>
      <c r="E19" s="16">
        <f>+E17+E18</f>
        <v>62441611.16378526</v>
      </c>
      <c r="F19" s="12">
        <f>+F17+F18</f>
        <v>26530</v>
      </c>
      <c r="G19" s="16">
        <f>+G17+G18</f>
        <v>76354080</v>
      </c>
      <c r="H19" s="28"/>
      <c r="I19" s="29">
        <f>+I17+I18</f>
        <v>-13912468.83621474</v>
      </c>
      <c r="J19" s="11"/>
    </row>
    <row r="21" ht="12.75">
      <c r="B21" t="s">
        <v>16</v>
      </c>
    </row>
    <row r="22" ht="12.75">
      <c r="B22" t="s">
        <v>17</v>
      </c>
    </row>
    <row r="23" ht="12.75">
      <c r="B23" t="s">
        <v>25</v>
      </c>
    </row>
    <row r="24" ht="12.75">
      <c r="B24" t="s">
        <v>23</v>
      </c>
    </row>
    <row r="25" ht="12.75">
      <c r="B25" t="s">
        <v>26</v>
      </c>
    </row>
    <row r="26" ht="12.75">
      <c r="B26" t="s">
        <v>27</v>
      </c>
    </row>
    <row r="27" ht="12.75">
      <c r="B27" t="s">
        <v>28</v>
      </c>
    </row>
    <row r="28" ht="12.75">
      <c r="B28" t="s">
        <v>29</v>
      </c>
    </row>
    <row r="29" ht="12.75">
      <c r="B29" t="s">
        <v>30</v>
      </c>
    </row>
    <row r="30" ht="12.75">
      <c r="B30" t="s">
        <v>31</v>
      </c>
    </row>
    <row r="31" ht="12.75">
      <c r="B31" t="s">
        <v>35</v>
      </c>
    </row>
    <row r="32" ht="12.75">
      <c r="B32" t="s">
        <v>36</v>
      </c>
    </row>
    <row r="35" spans="2:9" ht="13.5" thickBot="1">
      <c r="B35" s="1" t="s">
        <v>5</v>
      </c>
      <c r="C35" s="2"/>
      <c r="D35" s="2"/>
      <c r="E35" s="2"/>
      <c r="F35" s="2"/>
      <c r="G35" s="2"/>
      <c r="H35" s="2"/>
      <c r="I35" s="2"/>
    </row>
    <row r="36" ht="13.5" thickTop="1"/>
    <row r="37" spans="2:4" ht="12.75">
      <c r="B37" t="s">
        <v>0</v>
      </c>
      <c r="D37" s="3">
        <v>9000</v>
      </c>
    </row>
    <row r="38" ht="12.75">
      <c r="G38" t="s">
        <v>1</v>
      </c>
    </row>
    <row r="39" spans="4:9" ht="12.75">
      <c r="D39" s="4">
        <v>90</v>
      </c>
      <c r="E39" s="4">
        <v>100</v>
      </c>
      <c r="F39" s="4">
        <v>110</v>
      </c>
      <c r="G39" s="4">
        <v>120</v>
      </c>
      <c r="H39" s="4">
        <v>130</v>
      </c>
      <c r="I39" s="4">
        <v>140</v>
      </c>
    </row>
    <row r="40" spans="4:9" ht="12.75">
      <c r="D40" s="4"/>
      <c r="E40" s="4"/>
      <c r="F40" s="4"/>
      <c r="G40" s="4"/>
      <c r="H40" s="4"/>
      <c r="I40" s="4"/>
    </row>
    <row r="41" spans="4:9" ht="12.75">
      <c r="D41" s="4"/>
      <c r="E41" s="4"/>
      <c r="F41" s="4"/>
      <c r="G41" s="4"/>
      <c r="H41" s="4"/>
      <c r="I41" s="4"/>
    </row>
    <row r="42" spans="3:9" ht="12.75">
      <c r="C42" s="5">
        <v>4</v>
      </c>
      <c r="D42" s="6">
        <f aca="true" t="shared" si="3" ref="D42:I55">+$D$37*D$39/($C42/100)</f>
        <v>20250000</v>
      </c>
      <c r="E42" s="35">
        <f t="shared" si="3"/>
        <v>22500000</v>
      </c>
      <c r="F42" s="35">
        <f t="shared" si="3"/>
        <v>24750000</v>
      </c>
      <c r="G42" s="35">
        <f t="shared" si="3"/>
        <v>27000000</v>
      </c>
      <c r="H42" s="35">
        <f t="shared" si="3"/>
        <v>29250000</v>
      </c>
      <c r="I42" s="35">
        <f t="shared" si="3"/>
        <v>31500000</v>
      </c>
    </row>
    <row r="43" spans="3:9" ht="12.75">
      <c r="C43" s="4">
        <v>4.5</v>
      </c>
      <c r="D43" s="6">
        <f t="shared" si="3"/>
        <v>18000000</v>
      </c>
      <c r="E43" s="35">
        <f t="shared" si="3"/>
        <v>20000000</v>
      </c>
      <c r="F43" s="35">
        <f t="shared" si="3"/>
        <v>22000000</v>
      </c>
      <c r="G43" s="35">
        <f t="shared" si="3"/>
        <v>24000000</v>
      </c>
      <c r="H43" s="35">
        <f t="shared" si="3"/>
        <v>26000000</v>
      </c>
      <c r="I43" s="35">
        <f t="shared" si="3"/>
        <v>28000000</v>
      </c>
    </row>
    <row r="44" spans="3:9" ht="12.75">
      <c r="C44" s="5">
        <v>5</v>
      </c>
      <c r="D44" s="6">
        <f t="shared" si="3"/>
        <v>16200000</v>
      </c>
      <c r="E44" s="35">
        <f t="shared" si="3"/>
        <v>18000000</v>
      </c>
      <c r="F44" s="35">
        <f t="shared" si="3"/>
        <v>19800000</v>
      </c>
      <c r="G44" s="35">
        <f t="shared" si="3"/>
        <v>21600000</v>
      </c>
      <c r="H44" s="35">
        <f t="shared" si="3"/>
        <v>23400000</v>
      </c>
      <c r="I44" s="35">
        <f t="shared" si="3"/>
        <v>25200000</v>
      </c>
    </row>
    <row r="45" spans="3:9" ht="12.75">
      <c r="C45" s="5">
        <v>5.5</v>
      </c>
      <c r="D45" s="6">
        <f t="shared" si="3"/>
        <v>14727272.727272727</v>
      </c>
      <c r="E45" s="35">
        <f t="shared" si="3"/>
        <v>16363636.363636363</v>
      </c>
      <c r="F45" s="35">
        <f t="shared" si="3"/>
        <v>18000000</v>
      </c>
      <c r="G45" s="35">
        <f t="shared" si="3"/>
        <v>19636363.636363637</v>
      </c>
      <c r="H45" s="35">
        <f t="shared" si="3"/>
        <v>21272727.272727273</v>
      </c>
      <c r="I45" s="35">
        <f t="shared" si="3"/>
        <v>22909090.90909091</v>
      </c>
    </row>
    <row r="46" spans="3:9" ht="12.75">
      <c r="C46" s="5">
        <v>6</v>
      </c>
      <c r="D46" s="6">
        <f t="shared" si="3"/>
        <v>13500000</v>
      </c>
      <c r="E46" s="6">
        <f t="shared" si="3"/>
        <v>15000000</v>
      </c>
      <c r="F46" s="6">
        <f t="shared" si="3"/>
        <v>16500000</v>
      </c>
      <c r="G46" s="6">
        <f t="shared" si="3"/>
        <v>18000000</v>
      </c>
      <c r="H46" s="6">
        <f t="shared" si="3"/>
        <v>19500000</v>
      </c>
      <c r="I46" s="6">
        <f t="shared" si="3"/>
        <v>21000000</v>
      </c>
    </row>
    <row r="47" spans="2:9" ht="12.75">
      <c r="B47" t="s">
        <v>2</v>
      </c>
      <c r="C47" s="5">
        <v>6.5</v>
      </c>
      <c r="D47" s="6">
        <f t="shared" si="3"/>
        <v>12461538.461538462</v>
      </c>
      <c r="E47" s="6">
        <f t="shared" si="3"/>
        <v>13846153.846153846</v>
      </c>
      <c r="F47" s="6">
        <f t="shared" si="3"/>
        <v>15230769.23076923</v>
      </c>
      <c r="G47" s="6">
        <f t="shared" si="3"/>
        <v>16615384.615384614</v>
      </c>
      <c r="H47" s="6">
        <f t="shared" si="3"/>
        <v>18000000</v>
      </c>
      <c r="I47" s="6">
        <f t="shared" si="3"/>
        <v>19384615.384615384</v>
      </c>
    </row>
    <row r="48" spans="2:9" ht="12.75">
      <c r="B48" t="s">
        <v>3</v>
      </c>
      <c r="C48" s="5">
        <v>7</v>
      </c>
      <c r="D48" s="6">
        <f>+$D$37*D$39/($C48/100)</f>
        <v>11571428.57142857</v>
      </c>
      <c r="E48" s="6">
        <f t="shared" si="3"/>
        <v>12857142.857142856</v>
      </c>
      <c r="F48" s="6">
        <f t="shared" si="3"/>
        <v>14142857.142857142</v>
      </c>
      <c r="G48" s="6">
        <f t="shared" si="3"/>
        <v>15428571.428571427</v>
      </c>
      <c r="H48" s="6">
        <f t="shared" si="3"/>
        <v>16714285.714285713</v>
      </c>
      <c r="I48" s="6">
        <f t="shared" si="3"/>
        <v>18000000</v>
      </c>
    </row>
    <row r="49" spans="2:9" ht="12.75">
      <c r="B49" t="s">
        <v>4</v>
      </c>
      <c r="C49" s="5">
        <v>7.5</v>
      </c>
      <c r="D49" s="6">
        <f>+$D$37*D$39/($C49/100)</f>
        <v>10800000</v>
      </c>
      <c r="E49" s="6">
        <f t="shared" si="3"/>
        <v>12000000</v>
      </c>
      <c r="F49" s="6">
        <f t="shared" si="3"/>
        <v>13200000</v>
      </c>
      <c r="G49" s="6">
        <f t="shared" si="3"/>
        <v>14400000</v>
      </c>
      <c r="H49" s="6">
        <f t="shared" si="3"/>
        <v>15600000</v>
      </c>
      <c r="I49" s="6">
        <f t="shared" si="3"/>
        <v>16800000</v>
      </c>
    </row>
    <row r="50" spans="3:9" ht="12.75">
      <c r="C50" s="5">
        <v>8</v>
      </c>
      <c r="D50" s="6">
        <f aca="true" t="shared" si="4" ref="D50:D55">+$D$37*D$39/($C50/100)</f>
        <v>10125000</v>
      </c>
      <c r="E50" s="35">
        <f t="shared" si="3"/>
        <v>11250000</v>
      </c>
      <c r="F50" s="35">
        <f t="shared" si="3"/>
        <v>12375000</v>
      </c>
      <c r="G50" s="35">
        <f t="shared" si="3"/>
        <v>13500000</v>
      </c>
      <c r="H50" s="6">
        <f t="shared" si="3"/>
        <v>14625000</v>
      </c>
      <c r="I50" s="6">
        <f t="shared" si="3"/>
        <v>15750000</v>
      </c>
    </row>
    <row r="51" spans="3:9" ht="12.75">
      <c r="C51" s="5">
        <v>8.5</v>
      </c>
      <c r="D51" s="6">
        <f t="shared" si="4"/>
        <v>9529411.764705881</v>
      </c>
      <c r="E51" s="35">
        <f t="shared" si="3"/>
        <v>10588235.294117646</v>
      </c>
      <c r="F51" s="35">
        <f t="shared" si="3"/>
        <v>11647058.823529411</v>
      </c>
      <c r="G51" s="35">
        <f t="shared" si="3"/>
        <v>12705882.352941176</v>
      </c>
      <c r="H51" s="36">
        <f t="shared" si="3"/>
        <v>13764705.88235294</v>
      </c>
      <c r="I51" s="6">
        <f t="shared" si="3"/>
        <v>14823529.411764706</v>
      </c>
    </row>
    <row r="52" spans="3:9" ht="12.75">
      <c r="C52" s="5">
        <v>9</v>
      </c>
      <c r="D52" s="6">
        <f t="shared" si="4"/>
        <v>9000000</v>
      </c>
      <c r="E52" s="35">
        <f t="shared" si="3"/>
        <v>10000000</v>
      </c>
      <c r="F52" s="35">
        <f t="shared" si="3"/>
        <v>11000000</v>
      </c>
      <c r="G52" s="35">
        <f t="shared" si="3"/>
        <v>12000000</v>
      </c>
      <c r="H52" s="37">
        <f t="shared" si="3"/>
        <v>13000000</v>
      </c>
      <c r="I52" s="6">
        <f t="shared" si="3"/>
        <v>14000000</v>
      </c>
    </row>
    <row r="53" spans="3:9" ht="12.75">
      <c r="C53" s="5">
        <v>9.5</v>
      </c>
      <c r="D53" s="6">
        <f t="shared" si="4"/>
        <v>8526315.789473685</v>
      </c>
      <c r="E53" s="35">
        <f t="shared" si="3"/>
        <v>9473684.210526315</v>
      </c>
      <c r="F53" s="35">
        <f t="shared" si="3"/>
        <v>10421052.631578946</v>
      </c>
      <c r="G53" s="35">
        <f t="shared" si="3"/>
        <v>11368421.05263158</v>
      </c>
      <c r="H53" s="6">
        <f t="shared" si="3"/>
        <v>12315789.47368421</v>
      </c>
      <c r="I53" s="6">
        <f t="shared" si="3"/>
        <v>13263157.894736841</v>
      </c>
    </row>
    <row r="54" spans="2:9" ht="12.75">
      <c r="B54" s="9"/>
      <c r="C54" s="5">
        <v>10</v>
      </c>
      <c r="D54" s="6">
        <f t="shared" si="4"/>
        <v>8100000</v>
      </c>
      <c r="E54" s="35">
        <f t="shared" si="3"/>
        <v>9000000</v>
      </c>
      <c r="F54" s="35">
        <f t="shared" si="3"/>
        <v>9900000</v>
      </c>
      <c r="G54" s="35">
        <f t="shared" si="3"/>
        <v>10800000</v>
      </c>
      <c r="H54" s="6">
        <f t="shared" si="3"/>
        <v>11700000</v>
      </c>
      <c r="I54" s="6">
        <f t="shared" si="3"/>
        <v>12600000</v>
      </c>
    </row>
    <row r="55" spans="3:9" ht="12.75">
      <c r="C55" s="5">
        <v>10.5</v>
      </c>
      <c r="D55" s="6">
        <f t="shared" si="4"/>
        <v>7714285.714285715</v>
      </c>
      <c r="E55" s="6">
        <f t="shared" si="3"/>
        <v>8571428.57142857</v>
      </c>
      <c r="F55" s="6">
        <f t="shared" si="3"/>
        <v>9428571.42857143</v>
      </c>
      <c r="G55" s="6">
        <f t="shared" si="3"/>
        <v>10285714.285714285</v>
      </c>
      <c r="H55" s="6">
        <f t="shared" si="3"/>
        <v>11142857.142857144</v>
      </c>
      <c r="I55" s="6">
        <f t="shared" si="3"/>
        <v>12000000</v>
      </c>
    </row>
    <row r="57" ht="12.75">
      <c r="C57" t="s">
        <v>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5" max="5" width="11.140625" style="0" bestFit="1" customWidth="1"/>
    <col min="7" max="7" width="15.00390625" style="0" bestFit="1" customWidth="1"/>
  </cols>
  <sheetData>
    <row r="1" ht="12.75">
      <c r="H1" t="s">
        <v>51</v>
      </c>
    </row>
    <row r="2" spans="1:8" ht="12.75">
      <c r="A2" t="s">
        <v>44</v>
      </c>
      <c r="G2" s="41">
        <f>+Correctie!E19</f>
        <v>62441611.16378526</v>
      </c>
      <c r="H2">
        <v>1</v>
      </c>
    </row>
    <row r="3" spans="2:8" ht="12.75">
      <c r="B3" t="s">
        <v>42</v>
      </c>
      <c r="E3" s="33"/>
      <c r="G3" s="41">
        <f>-Correctie!E7*0.5</f>
        <v>-6219720</v>
      </c>
      <c r="H3">
        <v>2</v>
      </c>
    </row>
    <row r="4" spans="2:8" ht="12.75">
      <c r="B4" t="s">
        <v>43</v>
      </c>
      <c r="E4" s="33"/>
      <c r="G4" s="41">
        <f>-Correctie!E6+500*Correctie!D4</f>
        <v>-7650000</v>
      </c>
      <c r="H4">
        <v>3</v>
      </c>
    </row>
    <row r="5" spans="1:7" s="4" customFormat="1" ht="12.75">
      <c r="A5" s="4" t="s">
        <v>50</v>
      </c>
      <c r="E5" s="38"/>
      <c r="G5" s="42">
        <f>SUM(G2:G4)</f>
        <v>48571891.16378526</v>
      </c>
    </row>
    <row r="6" spans="5:7" ht="12.75">
      <c r="E6" s="33"/>
      <c r="G6" s="41"/>
    </row>
    <row r="7" spans="1:8" ht="12.75">
      <c r="A7" t="s">
        <v>45</v>
      </c>
      <c r="E7" s="34"/>
      <c r="G7" s="41">
        <v>105165278</v>
      </c>
      <c r="H7">
        <v>4</v>
      </c>
    </row>
    <row r="8" spans="2:8" ht="12.75">
      <c r="B8" t="s">
        <v>46</v>
      </c>
      <c r="G8" s="41">
        <f>72548131-80957587</f>
        <v>-8409456</v>
      </c>
      <c r="H8">
        <v>5</v>
      </c>
    </row>
    <row r="9" spans="2:8" ht="12.75">
      <c r="B9" t="s">
        <v>47</v>
      </c>
      <c r="G9" s="41">
        <f>+(G7+G8)*0.4*0.1</f>
        <v>3870232.880000001</v>
      </c>
      <c r="H9">
        <v>6</v>
      </c>
    </row>
    <row r="10" spans="1:7" s="4" customFormat="1" ht="12.75">
      <c r="A10" s="4" t="s">
        <v>48</v>
      </c>
      <c r="G10" s="42">
        <f>SUM(G7:G9)</f>
        <v>100626054.88</v>
      </c>
    </row>
    <row r="11" ht="12.75">
      <c r="G11" s="39"/>
    </row>
    <row r="12" ht="12.75">
      <c r="A12" t="s">
        <v>12</v>
      </c>
    </row>
    <row r="14" ht="12.75">
      <c r="A14" t="s">
        <v>52</v>
      </c>
    </row>
    <row r="15" ht="12.75">
      <c r="A15" t="s">
        <v>53</v>
      </c>
    </row>
    <row r="16" ht="12.75">
      <c r="A16" t="s">
        <v>54</v>
      </c>
    </row>
    <row r="17" ht="12.75">
      <c r="A17" t="s">
        <v>55</v>
      </c>
    </row>
    <row r="18" ht="12.75">
      <c r="A18" t="s">
        <v>56</v>
      </c>
    </row>
    <row r="19" ht="12.75">
      <c r="A19" t="s">
        <v>57</v>
      </c>
    </row>
    <row r="21" spans="1:7" ht="12.75">
      <c r="A21" s="4" t="str">
        <f>+A10</f>
        <v>Realistische nieuwbouw Stadskantoor scenario</v>
      </c>
      <c r="B21" s="4"/>
      <c r="C21" s="4"/>
      <c r="D21" s="4"/>
      <c r="E21" s="4"/>
      <c r="F21" s="4"/>
      <c r="G21" s="40">
        <f>+G10</f>
        <v>100626054.88</v>
      </c>
    </row>
    <row r="22" spans="1:7" ht="12.75">
      <c r="A22" s="4" t="str">
        <f>+A5</f>
        <v>Realistische Leeuwenbrug scenario</v>
      </c>
      <c r="B22" s="4"/>
      <c r="C22" s="4"/>
      <c r="D22" s="4"/>
      <c r="E22" s="4"/>
      <c r="F22" s="4"/>
      <c r="G22" s="40">
        <f>+G5</f>
        <v>48571891.16378526</v>
      </c>
    </row>
    <row r="23" spans="1:7" ht="12.75">
      <c r="A23" s="4" t="s">
        <v>49</v>
      </c>
      <c r="B23" s="4"/>
      <c r="C23" s="4"/>
      <c r="D23" s="4"/>
      <c r="E23" s="4"/>
      <c r="F23" s="4"/>
      <c r="G23" s="40">
        <f>+G22-G21</f>
        <v>-52054163.71621474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Mol van Otterloo</dc:creator>
  <cp:keywords/>
  <dc:description/>
  <cp:lastModifiedBy> </cp:lastModifiedBy>
  <dcterms:created xsi:type="dcterms:W3CDTF">2009-02-11T14:27:50Z</dcterms:created>
  <dcterms:modified xsi:type="dcterms:W3CDTF">2009-04-18T21:23:58Z</dcterms:modified>
  <cp:category/>
  <cp:version/>
  <cp:contentType/>
  <cp:contentStatus/>
</cp:coreProperties>
</file>